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PFILE01\home$\KRETZLER\Desktop.2008R2\"/>
    </mc:Choice>
  </mc:AlternateContent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J63" i="18"/>
  <c r="G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M65" i="18"/>
  <c r="G55" i="18"/>
  <c r="F55" i="18"/>
  <c r="M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I55" i="18" l="1"/>
  <c r="H55" i="18"/>
  <c r="L55" i="18"/>
  <c r="K5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S12" i="7"/>
  <c r="T12" i="7"/>
  <c r="U12" i="7"/>
  <c r="V12" i="7"/>
  <c r="W12" i="7"/>
  <c r="R12" i="7"/>
  <c r="E65" i="18" l="1"/>
  <c r="X12" i="7"/>
  <c r="X13" i="7"/>
  <c r="X11" i="7"/>
  <c r="X16" i="7"/>
  <c r="X15" i="7"/>
  <c r="X17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I15" i="7"/>
  <c r="H16" i="7"/>
  <c r="L16" i="7"/>
  <c r="K17" i="7"/>
  <c r="J18" i="7"/>
  <c r="N11" i="7"/>
  <c r="L11" i="7"/>
  <c r="H11" i="7"/>
  <c r="L14" i="7"/>
  <c r="K15" i="7"/>
  <c r="L18" i="7"/>
  <c r="P11" i="7"/>
  <c r="I14" i="7"/>
  <c r="H15" i="7"/>
  <c r="M11" i="7"/>
  <c r="L13" i="7"/>
  <c r="K14" i="7"/>
  <c r="J15" i="7"/>
  <c r="I16" i="7"/>
  <c r="H17" i="7"/>
  <c r="L17" i="7"/>
  <c r="K18" i="7"/>
  <c r="O11" i="7"/>
  <c r="J11" i="7"/>
  <c r="H14" i="7"/>
  <c r="J16" i="7"/>
  <c r="I17" i="7"/>
  <c r="H18" i="7"/>
  <c r="K11" i="7"/>
  <c r="L15" i="7"/>
  <c r="K16" i="7"/>
  <c r="J17" i="7"/>
  <c r="I18" i="7"/>
  <c r="L12" i="7"/>
  <c r="I11" i="7"/>
  <c r="F17" i="7"/>
  <c r="F15" i="7"/>
  <c r="F12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12" i="7"/>
  <c r="Q16" i="7"/>
  <c r="Q14" i="7"/>
  <c r="Q17" i="7"/>
  <c r="C14" i="7"/>
  <c r="C12" i="7"/>
  <c r="C16" i="7"/>
  <c r="C15" i="7"/>
  <c r="C17" i="7"/>
  <c r="C13" i="7"/>
  <c r="C18" i="7"/>
</calcChain>
</file>

<file path=xl/sharedStrings.xml><?xml version="1.0" encoding="utf-8"?>
<sst xmlns="http://schemas.openxmlformats.org/spreadsheetml/2006/main" count="1361" uniqueCount="675">
  <si>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</si>
  <si>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</si>
  <si>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</si>
  <si>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</si>
  <si>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</si>
  <si>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</si>
  <si>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</si>
  <si>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</si>
  <si>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</si>
  <si>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</si>
  <si>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</si>
  <si>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</si>
  <si>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</si>
  <si>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</si>
  <si>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</si>
  <si>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</si>
  <si>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</si>
  <si>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</si>
  <si>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</si>
  <si>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</si>
  <si>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</si>
  <si>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</si>
  <si>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</si>
  <si>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</si>
  <si>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</si>
  <si>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</si>
  <si>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</si>
  <si>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</si>
  <si>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</si>
  <si>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</si>
  <si>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</si>
  <si>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</si>
  <si>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</si>
  <si>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</si>
  <si>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</si>
  <si>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</si>
  <si>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</si>
  <si>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</si>
  <si>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</si>
  <si>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</si>
  <si>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</si>
  <si>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</si>
  <si>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</si>
  <si>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</si>
  <si>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</si>
  <si>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</si>
  <si>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</si>
  <si>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</si>
  <si>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</si>
  <si>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</si>
  <si>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</si>
  <si>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</si>
  <si>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</si>
  <si>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</si>
  <si>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</si>
  <si>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</si>
  <si>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</si>
  <si>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</si>
  <si>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</si>
  <si>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</si>
  <si>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</si>
  <si>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</si>
  <si>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</si>
  <si>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</si>
  <si>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</si>
  <si>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</si>
  <si>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</si>
  <si>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</si>
  <si>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</si>
  <si>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</si>
  <si>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</si>
  <si>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</si>
  <si>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</si>
  <si>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</si>
  <si>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</si>
  <si>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</si>
  <si>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</si>
  <si>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</si>
  <si>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</si>
  <si>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</si>
  <si>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</si>
  <si>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</si>
  <si>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</si>
  <si>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</si>
  <si>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</si>
  <si>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</si>
  <si>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</si>
  <si>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</si>
  <si>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</si>
  <si>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</si>
  <si>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</si>
  <si>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</si>
  <si>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</si>
  <si>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</si>
  <si>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</si>
  <si>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</si>
  <si>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</si>
  <si>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</si>
  <si>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</si>
  <si>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</si>
  <si>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</si>
  <si>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</si>
  <si>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</si>
  <si>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</si>
  <si>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</si>
  <si>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</si>
  <si>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</si>
  <si>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</si>
  <si>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</si>
  <si>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</si>
  <si>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</si>
  <si>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</si>
  <si>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</si>
  <si>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</si>
  <si>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</si>
  <si>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</si>
  <si>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</si>
  <si>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</si>
  <si>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</si>
  <si>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</si>
  <si>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</si>
  <si>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</si>
  <si>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</si>
  <si>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</si>
  <si>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</si>
  <si>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</si>
  <si>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</si>
  <si>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</si>
  <si>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</si>
  <si>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</si>
  <si>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</si>
  <si>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</si>
  <si>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</si>
  <si>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</si>
  <si>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</si>
  <si>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</si>
  <si>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</si>
  <si>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</si>
  <si>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</si>
  <si>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</si>
  <si>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</si>
  <si>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</si>
  <si>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</si>
  <si>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</si>
  <si>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</si>
  <si>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</si>
  <si>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</si>
  <si>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</si>
  <si>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</si>
  <si>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</si>
  <si>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</si>
  <si>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</si>
  <si>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</si>
  <si>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</si>
  <si>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</si>
  <si>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</si>
  <si>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</si>
  <si>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</si>
  <si>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</si>
  <si>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</si>
  <si>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</si>
  <si>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</si>
  <si>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</si>
  <si>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</si>
  <si>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</si>
  <si>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</si>
  <si>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</si>
  <si>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</si>
  <si>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</si>
  <si>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</si>
  <si>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</si>
  <si>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</si>
  <si>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</si>
  <si>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</si>
  <si>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</si>
  <si>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</si>
  <si>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</si>
  <si>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</si>
  <si>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</si>
  <si>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</si>
  <si>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</si>
  <si>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</si>
  <si>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</si>
  <si>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</si>
  <si>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</si>
  <si>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</si>
  <si>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</si>
  <si>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</si>
  <si>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</si>
  <si>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</si>
  <si>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</si>
  <si>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</si>
  <si>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</si>
  <si>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</si>
  <si>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</si>
  <si>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</si>
  <si>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</si>
  <si>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</si>
  <si>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</si>
  <si>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</si>
  <si>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</si>
  <si>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</si>
  <si>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</si>
  <si>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</si>
  <si>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</si>
  <si>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</si>
  <si>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</si>
  <si>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</si>
  <si>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</si>
  <si>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</si>
  <si>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</si>
  <si>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</si>
  <si>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</si>
  <si>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</si>
  <si>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</si>
  <si>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</si>
  <si>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</si>
  <si>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</si>
  <si>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</si>
  <si>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</si>
  <si>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</si>
  <si>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</si>
  <si>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</si>
  <si>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</si>
  <si>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</si>
  <si>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</si>
  <si>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</si>
  <si>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</si>
  <si>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</si>
  <si>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</si>
  <si>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</si>
  <si>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</si>
  <si>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</si>
  <si>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</si>
  <si>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</si>
  <si>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</si>
  <si>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</si>
  <si>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</si>
  <si>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</si>
  <si>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</si>
  <si>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</si>
  <si>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</si>
  <si>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</si>
  <si>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</si>
  <si>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</si>
  <si>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</si>
  <si>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</si>
  <si>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</si>
  <si>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</si>
  <si>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</si>
  <si>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</si>
  <si>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</si>
  <si>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</si>
  <si>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</si>
  <si>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</si>
  <si>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</si>
  <si>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</si>
  <si>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</si>
  <si>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</si>
  <si>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</si>
  <si>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</si>
  <si>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</si>
  <si>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</si>
  <si>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</si>
  <si>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</si>
  <si>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</si>
  <si>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</si>
  <si>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</si>
  <si>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</si>
  <si>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</si>
  <si>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</si>
  <si>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</si>
  <si>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</si>
  <si>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</si>
  <si>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</si>
  <si>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</si>
  <si>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</si>
  <si>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</si>
  <si>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</si>
  <si>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</si>
  <si>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</si>
  <si>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</si>
  <si>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</si>
  <si>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</si>
  <si>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</si>
  <si>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</si>
  <si>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</si>
  <si>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</si>
  <si>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</si>
  <si>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</si>
  <si>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</si>
  <si>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</si>
  <si>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</si>
  <si>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</si>
  <si>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</si>
  <si>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</si>
  <si>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</si>
  <si>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</si>
  <si>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</si>
  <si>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</si>
  <si>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</si>
  <si>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</si>
  <si>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</si>
  <si>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</si>
  <si>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</si>
  <si>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</si>
  <si>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</si>
  <si>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</si>
  <si>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</si>
  <si>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</si>
  <si>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</si>
  <si>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</si>
  <si>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</si>
  <si>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</si>
  <si>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</si>
  <si>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</si>
  <si>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</si>
  <si>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</si>
  <si>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</si>
  <si>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</si>
  <si>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</si>
  <si>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</si>
  <si>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</si>
  <si>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</si>
  <si>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</si>
  <si>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</si>
  <si>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</si>
  <si>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</si>
  <si>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</si>
  <si>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</si>
  <si>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</si>
  <si>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</si>
  <si>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</si>
  <si>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</si>
  <si>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</si>
  <si>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</si>
  <si>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</si>
  <si>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</si>
  <si>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</si>
  <si>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</si>
  <si>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</si>
  <si>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</si>
  <si>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</si>
  <si>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</si>
  <si>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</si>
  <si>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</si>
  <si>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</si>
  <si>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</si>
  <si>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</si>
  <si>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</si>
  <si>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</si>
  <si>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</si>
  <si>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</si>
  <si>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</si>
  <si>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</si>
  <si>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</si>
  <si>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</si>
  <si>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</si>
  <si>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</si>
  <si>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</si>
  <si>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</si>
  <si>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</si>
  <si>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</si>
  <si>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</si>
  <si>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</si>
  <si>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</si>
  <si>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</si>
  <si>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</si>
  <si>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</si>
  <si>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</si>
  <si>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</si>
  <si>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</si>
  <si>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</si>
  <si>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</si>
  <si>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</si>
  <si>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</si>
  <si>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</si>
  <si>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</si>
  <si>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</si>
  <si>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</si>
  <si>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</si>
  <si>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</si>
  <si>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</si>
  <si>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</si>
  <si>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</si>
  <si>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</si>
  <si>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</si>
  <si>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</si>
  <si>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</si>
  <si>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</si>
  <si>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</si>
  <si>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</si>
  <si>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</si>
  <si>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</si>
  <si>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</si>
  <si>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</si>
  <si>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</si>
  <si>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</si>
  <si>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</si>
  <si>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</si>
  <si>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</si>
  <si>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</si>
  <si>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</si>
  <si>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</si>
  <si>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</si>
  <si>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</si>
  <si>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</si>
  <si>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</si>
  <si>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</si>
  <si>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</si>
  <si>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</si>
  <si>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</si>
  <si>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</si>
  <si>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</si>
  <si>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</si>
  <si>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</si>
  <si>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</si>
  <si>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</si>
  <si>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</si>
  <si>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</si>
  <si>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</si>
  <si>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</si>
  <si>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</si>
  <si>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</si>
  <si>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</si>
  <si>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</si>
  <si>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</si>
  <si>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</si>
  <si>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</si>
  <si>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</si>
  <si>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</si>
  <si>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</si>
  <si>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</si>
  <si>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</si>
  <si>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</si>
  <si>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</si>
  <si>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</si>
  <si>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</si>
  <si>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</si>
  <si>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</si>
  <si>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</si>
  <si>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</si>
  <si>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</si>
  <si>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</si>
  <si>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</si>
  <si>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</si>
  <si>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</si>
  <si>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</si>
  <si>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</si>
  <si>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</si>
  <si>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</si>
  <si>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</si>
  <si>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</si>
  <si>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</si>
  <si>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</si>
  <si>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</si>
  <si>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</si>
  <si>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</si>
  <si>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</si>
  <si>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</si>
  <si>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</si>
  <si>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</si>
  <si>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</si>
  <si>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</si>
  <si>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</si>
  <si>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</si>
  <si>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</si>
  <si>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</si>
  <si>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</si>
  <si>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</si>
  <si>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</si>
  <si>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</si>
  <si>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</si>
  <si>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</si>
  <si>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</si>
  <si>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</si>
  <si>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</si>
  <si>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</si>
  <si>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</si>
  <si>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</si>
  <si>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</si>
  <si>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</si>
  <si>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</si>
  <si>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</si>
  <si>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</si>
  <si>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</si>
  <si>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</si>
  <si>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</si>
  <si>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</si>
  <si>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</si>
  <si>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</si>
  <si>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</si>
  <si>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</si>
  <si>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</si>
  <si>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</si>
  <si>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</si>
  <si>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</si>
  <si>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</si>
  <si>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</si>
  <si>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</si>
  <si>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</si>
  <si>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</si>
  <si>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</si>
  <si>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</si>
  <si>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</si>
  <si>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</si>
  <si>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</si>
  <si>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</si>
  <si>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</si>
  <si>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</si>
  <si>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</si>
  <si>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</si>
  <si>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</si>
  <si>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</si>
  <si>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</si>
  <si>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</si>
  <si>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</si>
  <si>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</si>
  <si>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</si>
  <si>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</si>
  <si>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</si>
  <si>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</si>
  <si>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</si>
  <si>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</si>
  <si>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</si>
  <si>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</si>
  <si>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</si>
  <si>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</si>
  <si>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</si>
  <si>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</si>
  <si>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</si>
  <si>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</si>
  <si>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</si>
  <si>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</si>
  <si>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</si>
  <si>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</si>
  <si>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</si>
  <si>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</si>
  <si>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</si>
  <si>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</si>
  <si>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</si>
  <si>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</si>
  <si>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</si>
  <si>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</si>
  <si>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</si>
  <si>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</si>
  <si>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</si>
  <si>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</si>
  <si>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</si>
  <si>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</si>
  <si>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</si>
  <si>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</si>
  <si>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</si>
  <si>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</si>
  <si>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</si>
  <si>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</si>
  <si>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</si>
  <si>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</si>
  <si>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</si>
  <si>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</si>
  <si>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</si>
  <si>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</si>
  <si>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</si>
  <si>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</si>
  <si>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</si>
  <si>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</si>
  <si>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</si>
  <si>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</si>
  <si>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</si>
  <si>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</si>
  <si>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</si>
  <si>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</si>
  <si>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</si>
  <si>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</si>
  <si>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</si>
  <si>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</si>
  <si>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</si>
  <si>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</si>
  <si>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</si>
  <si>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</si>
  <si>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</si>
  <si>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</si>
  <si>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</si>
  <si>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</si>
  <si>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</si>
  <si>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</si>
  <si>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</si>
  <si>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</si>
  <si>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</si>
  <si>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</si>
  <si>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</si>
  <si>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</si>
  <si>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</si>
  <si>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</si>
  <si>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</si>
  <si>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</si>
  <si>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</si>
  <si>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</si>
  <si>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</si>
  <si>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</si>
  <si>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</si>
  <si>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</si>
  <si>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</si>
  <si>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</si>
  <si>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</si>
  <si>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</si>
  <si>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</si>
  <si>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</si>
  <si>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</si>
  <si>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</si>
  <si>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</si>
  <si>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</si>
  <si>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</si>
  <si>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</si>
  <si>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</si>
  <si>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</si>
  <si>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</si>
  <si>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</si>
  <si>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</si>
  <si>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</si>
  <si>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</si>
  <si>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</si>
  <si>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</si>
  <si>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</si>
  <si>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</si>
  <si>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</si>
  <si>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</si>
  <si>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</si>
  <si>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</si>
  <si>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</si>
  <si>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</si>
  <si>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</si>
  <si>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</si>
  <si>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</si>
  <si>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</si>
  <si>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</si>
  <si>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</si>
  <si>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</si>
  <si>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</si>
  <si>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</si>
  <si>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</si>
  <si>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</si>
  <si>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</si>
  <si>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</si>
  <si>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</si>
  <si>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</si>
  <si>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</si>
  <si>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</si>
  <si>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</si>
  <si>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</si>
  <si>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</si>
  <si>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</si>
  <si>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</si>
  <si>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</si>
  <si>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</si>
  <si>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</si>
  <si>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</si>
  <si>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</si>
  <si>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</si>
  <si>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Karlsruhe Netzservice GmbH</t>
  </si>
  <si>
    <t>9870043100005</t>
  </si>
  <si>
    <t>Daxlander Str. 72</t>
  </si>
  <si>
    <t>D-76185</t>
  </si>
  <si>
    <t>Karlsruhe</t>
  </si>
  <si>
    <t>Alexander Kretzler</t>
  </si>
  <si>
    <t>edm@netzservice-swka.de</t>
  </si>
  <si>
    <t>0721/599-3862</t>
  </si>
  <si>
    <t>NCHN007004310000</t>
  </si>
  <si>
    <t>Rheinstetten</t>
  </si>
  <si>
    <t>Ind.-Koef.</t>
  </si>
  <si>
    <t>DE_GKO04</t>
  </si>
  <si>
    <t>DE_GHA04</t>
  </si>
  <si>
    <t>DE_GBD04</t>
  </si>
  <si>
    <t>DE_GMK04</t>
  </si>
  <si>
    <t>Karlsruhe und Rheinstetten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</si>
</sst>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658</v>
      </c>
      <c r="D4" s="27">
        <v>43060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657</v>
      </c>
      <c r="D6" s="27">
        <v>41548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2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 t="s">
        <v>662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Karlsruhe und Rheinstetten</v>
      </c>
      <c r="E28" s="38"/>
      <c r="F28" s="11"/>
      <c r="G28" s="2"/>
    </row>
    <row r="29" spans="1:15">
      <c r="B29" s="15"/>
      <c r="C29" s="22" t="s">
        <v>397</v>
      </c>
      <c r="D29" s="45" t="s">
        <v>674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Karlsruhe Netzservice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Karlsruhe und Rheinstetten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9" t="str">
        <f>Netzbetreiber!$D$11</f>
        <v>9870043100005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41548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2" t="s">
        <v>257</v>
      </c>
      <c r="I11" s="272" t="s">
        <v>260</v>
      </c>
      <c r="J11" s="27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619</v>
      </c>
      <c r="D13" s="33" t="s">
        <v>620</v>
      </c>
      <c r="E13" s="15"/>
      <c r="H13" s="272" t="s">
        <v>620</v>
      </c>
      <c r="I13" s="272" t="s">
        <v>621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70" t="s">
        <v>258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578</v>
      </c>
      <c r="I19" s="271" t="s">
        <v>492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493</v>
      </c>
      <c r="I20" s="271" t="s">
        <v>494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617</v>
      </c>
      <c r="D22" s="49" t="s">
        <v>613</v>
      </c>
      <c r="E22" s="15"/>
      <c r="H22" s="268" t="s">
        <v>613</v>
      </c>
      <c r="I22" s="268" t="s">
        <v>614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615</v>
      </c>
      <c r="E23" s="15"/>
      <c r="H23" s="268" t="s">
        <v>616</v>
      </c>
      <c r="I23" s="8" t="s">
        <v>612</v>
      </c>
      <c r="J23" s="8"/>
      <c r="K23" s="8"/>
      <c r="L23" s="269"/>
    </row>
    <row r="24" spans="2:16" ht="15" customHeight="1">
      <c r="B24" s="22"/>
      <c r="C24" s="24" t="s">
        <v>618</v>
      </c>
      <c r="D24" s="24" t="str">
        <f>IF(D22=$H$22,L24,IF(D23=$H$24,M24,N24))</f>
        <v>=&gt;  Q(D) = KW  x  h(T, SLP-Typ)  x  F(WT)</v>
      </c>
      <c r="E24" s="15"/>
      <c r="H24" s="268" t="s">
        <v>615</v>
      </c>
      <c r="I24" s="268" t="s">
        <v>622</v>
      </c>
      <c r="J24" s="8"/>
      <c r="K24" s="8"/>
      <c r="L24" s="271" t="s">
        <v>623</v>
      </c>
      <c r="M24" s="271" t="s">
        <v>625</v>
      </c>
      <c r="N24" s="271" t="s">
        <v>624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581</v>
      </c>
      <c r="D26" s="42" t="s">
        <v>137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626</v>
      </c>
      <c r="D27" s="42" t="s">
        <v>627</v>
      </c>
      <c r="E27" s="15"/>
      <c r="H27" s="298" t="s">
        <v>627</v>
      </c>
      <c r="I27" s="270" t="s">
        <v>628</v>
      </c>
      <c r="J27" s="270" t="s">
        <v>629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630</v>
      </c>
      <c r="I28" s="271" t="s">
        <v>631</v>
      </c>
      <c r="J28" s="271" t="s">
        <v>632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633</v>
      </c>
      <c r="I29" s="271" t="s">
        <v>634</v>
      </c>
      <c r="J29" s="271" t="s">
        <v>635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497</v>
      </c>
      <c r="C31" s="6" t="s">
        <v>580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636</v>
      </c>
      <c r="I32" s="271" t="s">
        <v>637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638</v>
      </c>
      <c r="I33" s="268" t="s">
        <v>633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552</v>
      </c>
      <c r="C35" s="24" t="s">
        <v>499</v>
      </c>
      <c r="D35" s="42">
        <v>7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553</v>
      </c>
      <c r="C37" s="5" t="s">
        <v>367</v>
      </c>
      <c r="D37" s="34">
        <v>1500000</v>
      </c>
      <c r="E37" s="15" t="s">
        <v>510</v>
      </c>
      <c r="I37" s="268"/>
      <c r="J37" s="268"/>
      <c r="K37" s="268"/>
      <c r="L37" s="268"/>
      <c r="M37" s="269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554</v>
      </c>
      <c r="C40" s="5" t="s">
        <v>368</v>
      </c>
      <c r="D40" s="36">
        <v>500</v>
      </c>
      <c r="E40" s="15" t="s">
        <v>544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543</v>
      </c>
    </row>
    <row r="44" spans="2:39" ht="18" customHeight="1">
      <c r="C44" s="3" t="s">
        <v>545</v>
      </c>
    </row>
    <row r="45" spans="2:39" ht="18" customHeight="1">
      <c r="C45" s="3"/>
    </row>
    <row r="46" spans="2:39" ht="15" customHeight="1">
      <c r="B46" s="22" t="s">
        <v>555</v>
      </c>
      <c r="C46" s="60" t="s">
        <v>579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590</v>
      </c>
      <c r="D48" s="45" t="s">
        <v>668</v>
      </c>
    </row>
    <row r="49" spans="3:4" ht="18" customHeight="1">
      <c r="C49" s="22" t="s">
        <v>591</v>
      </c>
      <c r="D49" s="45"/>
    </row>
    <row r="50" spans="3:4" ht="18" customHeight="1">
      <c r="C50" s="22" t="s">
        <v>592</v>
      </c>
      <c r="D50" s="45"/>
    </row>
    <row r="51" spans="3:4" ht="18" customHeight="1">
      <c r="C51" s="22" t="s">
        <v>593</v>
      </c>
      <c r="D51" s="45"/>
    </row>
    <row r="52" spans="3:4" ht="18" customHeight="1">
      <c r="C52" s="22" t="s">
        <v>594</v>
      </c>
      <c r="D52" s="45"/>
    </row>
    <row r="53" spans="3:4" ht="18" customHeight="1">
      <c r="C53" s="22" t="s">
        <v>595</v>
      </c>
      <c r="D53" s="45"/>
    </row>
    <row r="54" spans="3:4" ht="18" customHeight="1">
      <c r="C54" s="22" t="s">
        <v>596</v>
      </c>
      <c r="D54" s="45"/>
    </row>
    <row r="55" spans="3:4" ht="18" customHeight="1">
      <c r="C55" s="22" t="s">
        <v>597</v>
      </c>
      <c r="D55" s="45"/>
    </row>
    <row r="56" spans="3:4" ht="18" customHeight="1">
      <c r="C56" s="22" t="s">
        <v>598</v>
      </c>
      <c r="D56" s="45"/>
    </row>
    <row r="57" spans="3:4" ht="18" customHeight="1">
      <c r="C57" s="22" t="s">
        <v>599</v>
      </c>
      <c r="D57" s="45"/>
    </row>
    <row r="58" spans="3:4" ht="18" customHeight="1">
      <c r="C58" s="22" t="s">
        <v>600</v>
      </c>
      <c r="D58" s="45"/>
    </row>
    <row r="59" spans="3:4" ht="18" customHeight="1">
      <c r="C59" s="22" t="s">
        <v>601</v>
      </c>
      <c r="D59" s="45"/>
    </row>
    <row r="60" spans="3:4" ht="18" customHeight="1">
      <c r="C60" s="22" t="s">
        <v>602</v>
      </c>
      <c r="D60" s="45"/>
    </row>
    <row r="61" spans="3:4" ht="18" customHeight="1">
      <c r="C61" s="22" t="s">
        <v>603</v>
      </c>
      <c r="D61" s="45"/>
    </row>
    <row r="62" spans="3:4" ht="18" customHeight="1">
      <c r="C62" s="22" t="s">
        <v>604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1" zoomScale="70" zoomScaleNormal="70" workbookViewId="0">
      <selection activeCell="E70" sqref="E7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Netzbetreiber!D9</f>
        <v>Stadtwerke Karlsruhe Netzservice GmbH</v>
      </c>
      <c r="F4" s="331"/>
      <c r="G4" s="331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Karlsruhe und Rheinstetten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Netzbetreiber!D11</f>
        <v>9870043100005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41548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1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4" t="str">
        <f>INDEX('SLP-Verfahren'!D48:D62,'SLP-Temp-Gebiet #01'!F10)</f>
        <v>Rheinstetten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588</v>
      </c>
      <c r="D13" s="341"/>
      <c r="E13" s="341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3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531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668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>
        <v>10731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Rheinstetten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>
        <f>E25</f>
        <v>10731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536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3" t="s">
        <v>583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Netzbetreiber!$D$9</f>
        <v>Stadtwerke Karlsruhe Netzservice GmbH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Karlsruhe und Rheinstetten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Netzbetreiber!$D$11</f>
        <v>9870043100005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41548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2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588</v>
      </c>
      <c r="D13" s="341"/>
      <c r="E13" s="341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3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531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43" t="s">
        <v>583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15" sqref="D1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Karlsruhe Netzservice GmbH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Karlsruhe und Rheinstetten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9870043100005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41548</v>
      </c>
      <c r="E8" s="130"/>
      <c r="F8" s="130"/>
      <c r="H8" s="128" t="s">
        <v>499</v>
      </c>
      <c r="J8" s="132">
        <f>COUNTA(D12:D100)</f>
        <v>7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3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639</v>
      </c>
      <c r="M10" s="150" t="s">
        <v>648</v>
      </c>
      <c r="N10" s="151" t="s">
        <v>649</v>
      </c>
      <c r="O10" s="151" t="s">
        <v>650</v>
      </c>
      <c r="P10" s="152" t="s">
        <v>651</v>
      </c>
      <c r="Q10" s="146" t="s">
        <v>640</v>
      </c>
      <c r="R10" s="136" t="s">
        <v>641</v>
      </c>
      <c r="S10" s="137" t="s">
        <v>642</v>
      </c>
      <c r="T10" s="137" t="s">
        <v>643</v>
      </c>
      <c r="U10" s="137" t="s">
        <v>644</v>
      </c>
      <c r="V10" s="137" t="s">
        <v>645</v>
      </c>
      <c r="W10" s="137" t="s">
        <v>646</v>
      </c>
      <c r="X10" s="138" t="s">
        <v>647</v>
      </c>
      <c r="Y10" s="295" t="s">
        <v>652</v>
      </c>
    </row>
    <row r="11" spans="2:26" ht="15.75" thickBot="1">
      <c r="B11" s="139" t="s">
        <v>500</v>
      </c>
      <c r="C11" s="140" t="s">
        <v>513</v>
      </c>
      <c r="D11" s="294" t="s">
        <v>248</v>
      </c>
      <c r="E11" s="164" t="s">
        <v>520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Karlsruhe und Rheinstetten</v>
      </c>
      <c r="D12" s="62" t="s">
        <v>669</v>
      </c>
      <c r="E12" s="165" t="s">
        <v>4</v>
      </c>
      <c r="F12" s="297" t="str">
        <f>VLOOKUP($E12,'BDEW-Standard'!$B$3:$M$94,F$9,0)</f>
        <v>D13</v>
      </c>
      <c r="H12" s="274">
        <v>2.9093709826601701</v>
      </c>
      <c r="I12" s="274">
        <v>-35.831311061645103</v>
      </c>
      <c r="J12" s="274">
        <v>7.3938882654784299</v>
      </c>
      <c r="K12" s="274">
        <v>0.139584895479334</v>
      </c>
      <c r="L12" s="338">
        <f>ROUND(VLOOKUP($E12,'BDEW-Standard'!$B$3:$M$94,L$9,0),1)</f>
        <v>40</v>
      </c>
      <c r="M12" s="274">
        <v>0</v>
      </c>
      <c r="N12" s="274">
        <v>0</v>
      </c>
      <c r="O12" s="274">
        <v>0</v>
      </c>
      <c r="P12" s="274">
        <v>0</v>
      </c>
      <c r="Q12" s="339">
        <f t="shared" ref="Q12:Q26" si="1">($H12/(1+($I12/($Q$9-$L12))^$J12)+$K12)+MAX($M12*$Q$9+$N12,$O12*$Q$9+$P12)</f>
        <v>1.0192242460473646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Karlsruhe und Rheinstetten</v>
      </c>
      <c r="D13" s="62" t="s">
        <v>669</v>
      </c>
      <c r="E13" s="165" t="s">
        <v>587</v>
      </c>
      <c r="F13" s="297" t="str">
        <f>VLOOKUP($E13,'BDEW-Standard'!$B$3:$M$94,F$9,0)</f>
        <v>D23</v>
      </c>
      <c r="H13" s="274">
        <v>2.8065356962547798</v>
      </c>
      <c r="I13" s="274">
        <v>-34.607432132010103</v>
      </c>
      <c r="J13" s="274">
        <v>6.58376761035918</v>
      </c>
      <c r="K13" s="274">
        <v>5.5377505080069001E-2</v>
      </c>
      <c r="L13" s="338">
        <f>ROUND(VLOOKUP($E13,'BDEW-Standard'!$B$3:$M$94,L$9,0),1)</f>
        <v>40</v>
      </c>
      <c r="M13" s="274">
        <v>0</v>
      </c>
      <c r="N13" s="274">
        <v>0</v>
      </c>
      <c r="O13" s="274">
        <v>0</v>
      </c>
      <c r="P13" s="274">
        <v>0</v>
      </c>
      <c r="Q13" s="339">
        <f t="shared" si="1"/>
        <v>1.1046087294499047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Karlsruhe und Rheinstetten</v>
      </c>
      <c r="D14" s="62" t="s">
        <v>248</v>
      </c>
      <c r="E14" s="165" t="s">
        <v>670</v>
      </c>
      <c r="F14" s="297" t="str">
        <f>VLOOKUP($E14,'BDEW-Standard'!$B$3:$M$94,F$9,0)</f>
        <v>KO4</v>
      </c>
      <c r="H14" s="274">
        <f>ROUND(VLOOKUP($E14,'BDEW-Standard'!$B$3:$M$94,H$9,0),7)</f>
        <v>3.4428942999999999</v>
      </c>
      <c r="I14" s="274">
        <f>ROUND(VLOOKUP($E14,'BDEW-Standard'!$B$3:$M$94,I$9,0),7)</f>
        <v>-36.659050399999998</v>
      </c>
      <c r="J14" s="274">
        <f>ROUND(VLOOKUP($E14,'BDEW-Standard'!$B$3:$M$94,J$9,0),7)</f>
        <v>7.6083226000000002</v>
      </c>
      <c r="K14" s="274">
        <f>ROUND(VLOOKUP($E14,'BDEW-Standard'!$B$3:$M$94,K$9,0),7)</f>
        <v>7.4685000000000001E-2</v>
      </c>
      <c r="L14" s="338">
        <f>ROUND(VLOOKUP($E14,'BDEW-Standard'!$B$3:$M$94,L$9,0),1)</f>
        <v>40</v>
      </c>
      <c r="M14" s="274">
        <v>0</v>
      </c>
      <c r="N14" s="274">
        <v>0</v>
      </c>
      <c r="O14" s="274">
        <v>0</v>
      </c>
      <c r="P14" s="274">
        <v>0</v>
      </c>
      <c r="Q14" s="339">
        <f t="shared" si="1"/>
        <v>0.97768382110526542</v>
      </c>
      <c r="R14" s="275">
        <f>ROUND(VLOOKUP(MID($E14,4,3),'Wochentag F(WT)'!$B$7:$J$22,R$9,0),4)</f>
        <v>1.0354000000000001</v>
      </c>
      <c r="S14" s="275">
        <f>ROUND(VLOOKUP(MID($E14,4,3),'Wochentag F(WT)'!$B$7:$J$22,S$9,0),4)</f>
        <v>1.0523</v>
      </c>
      <c r="T14" s="275">
        <f>ROUND(VLOOKUP(MID($E14,4,3),'Wochentag F(WT)'!$B$7:$J$22,T$9,0),4)</f>
        <v>1.0448999999999999</v>
      </c>
      <c r="U14" s="275">
        <f>ROUND(VLOOKUP(MID($E14,4,3),'Wochentag F(WT)'!$B$7:$J$22,U$9,0),4)</f>
        <v>1.0494000000000001</v>
      </c>
      <c r="V14" s="275">
        <f>ROUND(VLOOKUP(MID($E14,4,3),'Wochentag F(WT)'!$B$7:$J$22,V$9,0),4)</f>
        <v>0.98850000000000005</v>
      </c>
      <c r="W14" s="275">
        <f>ROUND(VLOOKUP(MID($E14,4,3),'Wochentag F(WT)'!$B$7:$J$22,W$9,0),4)</f>
        <v>0.88600000000000001</v>
      </c>
      <c r="X14" s="276">
        <f t="shared" si="2"/>
        <v>0.94349999999999934</v>
      </c>
      <c r="Y14" s="293"/>
      <c r="Z14" s="211"/>
    </row>
    <row r="15" spans="2:26" s="143" customFormat="1">
      <c r="B15" s="144">
        <v>4</v>
      </c>
      <c r="C15" s="145" t="str">
        <f t="shared" si="0"/>
        <v>Karlsruhe und Rheinstetten</v>
      </c>
      <c r="D15" s="62" t="s">
        <v>248</v>
      </c>
      <c r="E15" s="165" t="s">
        <v>671</v>
      </c>
      <c r="F15" s="297" t="str">
        <f>VLOOKUP($E15,'BDEW-Standard'!$B$3:$M$94,F$9,0)</f>
        <v>HA4</v>
      </c>
      <c r="H15" s="274">
        <f>ROUND(VLOOKUP($E15,'BDEW-Standard'!$B$3:$M$94,H$9,0),7)</f>
        <v>4.0196902000000003</v>
      </c>
      <c r="I15" s="274">
        <f>ROUND(VLOOKUP($E15,'BDEW-Standard'!$B$3:$M$94,I$9,0),7)</f>
        <v>-37.828203700000003</v>
      </c>
      <c r="J15" s="274">
        <f>ROUND(VLOOKUP($E15,'BDEW-Standard'!$B$3:$M$94,J$9,0),7)</f>
        <v>8.1593368999999996</v>
      </c>
      <c r="K15" s="274">
        <f>ROUND(VLOOKUP($E15,'BDEW-Standard'!$B$3:$M$94,K$9,0),7)</f>
        <v>4.72845E-2</v>
      </c>
      <c r="L15" s="338">
        <f>ROUND(VLOOKUP($E15,'BDEW-Standard'!$B$3:$M$94,L$9,0),1)</f>
        <v>40</v>
      </c>
      <c r="M15" s="274">
        <v>0</v>
      </c>
      <c r="N15" s="274">
        <v>0</v>
      </c>
      <c r="O15" s="274">
        <v>0</v>
      </c>
      <c r="P15" s="274">
        <v>0</v>
      </c>
      <c r="Q15" s="339">
        <f t="shared" si="1"/>
        <v>0.86486713303260787</v>
      </c>
      <c r="R15" s="275">
        <f>ROUND(VLOOKUP(MID($E15,4,3),'Wochentag F(WT)'!$B$7:$J$22,R$9,0),4)</f>
        <v>1.0358000000000001</v>
      </c>
      <c r="S15" s="275">
        <f>ROUND(VLOOKUP(MID($E15,4,3),'Wochentag F(WT)'!$B$7:$J$22,S$9,0),4)</f>
        <v>1.0232000000000001</v>
      </c>
      <c r="T15" s="275">
        <f>ROUND(VLOOKUP(MID($E15,4,3),'Wochentag F(WT)'!$B$7:$J$22,T$9,0),4)</f>
        <v>1.0251999999999999</v>
      </c>
      <c r="U15" s="275">
        <f>ROUND(VLOOKUP(MID($E15,4,3),'Wochentag F(WT)'!$B$7:$J$22,U$9,0),4)</f>
        <v>1.0295000000000001</v>
      </c>
      <c r="V15" s="275">
        <f>ROUND(VLOOKUP(MID($E15,4,3),'Wochentag F(WT)'!$B$7:$J$22,V$9,0),4)</f>
        <v>1.0253000000000001</v>
      </c>
      <c r="W15" s="275">
        <f>ROUND(VLOOKUP(MID($E15,4,3),'Wochentag F(WT)'!$B$7:$J$22,W$9,0),4)</f>
        <v>0.96750000000000003</v>
      </c>
      <c r="X15" s="276">
        <f t="shared" si="2"/>
        <v>0.89350000000000041</v>
      </c>
      <c r="Y15" s="293"/>
      <c r="Z15" s="211"/>
    </row>
    <row r="16" spans="2:26" s="143" customFormat="1">
      <c r="B16" s="144">
        <v>5</v>
      </c>
      <c r="C16" s="145" t="str">
        <f t="shared" si="0"/>
        <v>Karlsruhe und Rheinstetten</v>
      </c>
      <c r="D16" s="62" t="s">
        <v>248</v>
      </c>
      <c r="E16" s="165" t="s">
        <v>672</v>
      </c>
      <c r="F16" s="297" t="str">
        <f>VLOOKUP($E16,'BDEW-Standard'!$B$3:$M$94,F$9,0)</f>
        <v>BD4</v>
      </c>
      <c r="H16" s="274">
        <f>ROUND(VLOOKUP($E16,'BDEW-Standard'!$B$3:$M$94,H$9,0),7)</f>
        <v>3.75</v>
      </c>
      <c r="I16" s="274">
        <f>ROUND(VLOOKUP($E16,'BDEW-Standard'!$B$3:$M$94,I$9,0),7)</f>
        <v>-37.5</v>
      </c>
      <c r="J16" s="274">
        <f>ROUND(VLOOKUP($E16,'BDEW-Standard'!$B$3:$M$94,J$9,0),7)</f>
        <v>6.8</v>
      </c>
      <c r="K16" s="274">
        <f>ROUND(VLOOKUP($E16,'BDEW-Standard'!$B$3:$M$94,K$9,0),7)</f>
        <v>6.0911300000000002E-2</v>
      </c>
      <c r="L16" s="338">
        <f>ROUND(VLOOKUP($E16,'BDEW-Standard'!$B$3:$M$94,L$9,0),1)</f>
        <v>40</v>
      </c>
      <c r="M16" s="274">
        <v>0</v>
      </c>
      <c r="N16" s="274">
        <v>0</v>
      </c>
      <c r="O16" s="274">
        <v>0</v>
      </c>
      <c r="P16" s="274">
        <v>0</v>
      </c>
      <c r="Q16" s="339">
        <f t="shared" si="1"/>
        <v>1.0126136468627658</v>
      </c>
      <c r="R16" s="275">
        <f>ROUND(VLOOKUP(MID($E16,4,3),'Wochentag F(WT)'!$B$7:$J$22,R$9,0),4)</f>
        <v>1.1052</v>
      </c>
      <c r="S16" s="275">
        <f>ROUND(VLOOKUP(MID($E16,4,3),'Wochentag F(WT)'!$B$7:$J$22,S$9,0),4)</f>
        <v>1.0857000000000001</v>
      </c>
      <c r="T16" s="275">
        <f>ROUND(VLOOKUP(MID($E16,4,3),'Wochentag F(WT)'!$B$7:$J$22,T$9,0),4)</f>
        <v>1.0378000000000001</v>
      </c>
      <c r="U16" s="275">
        <f>ROUND(VLOOKUP(MID($E16,4,3),'Wochentag F(WT)'!$B$7:$J$22,U$9,0),4)</f>
        <v>1.0622</v>
      </c>
      <c r="V16" s="275">
        <f>ROUND(VLOOKUP(MID($E16,4,3),'Wochentag F(WT)'!$B$7:$J$22,V$9,0),4)</f>
        <v>1.0266</v>
      </c>
      <c r="W16" s="275">
        <f>ROUND(VLOOKUP(MID($E16,4,3),'Wochentag F(WT)'!$B$7:$J$22,W$9,0),4)</f>
        <v>0.76290000000000002</v>
      </c>
      <c r="X16" s="276">
        <f t="shared" si="2"/>
        <v>0.91959999999999997</v>
      </c>
      <c r="Y16" s="293"/>
      <c r="Z16" s="211"/>
    </row>
    <row r="17" spans="2:26" s="143" customFormat="1">
      <c r="B17" s="144">
        <v>6</v>
      </c>
      <c r="C17" s="145" t="str">
        <f t="shared" si="0"/>
        <v>Karlsruhe und Rheinstetten</v>
      </c>
      <c r="D17" s="62" t="s">
        <v>248</v>
      </c>
      <c r="E17" s="165" t="s">
        <v>673</v>
      </c>
      <c r="F17" s="297" t="str">
        <f>VLOOKUP($E17,'BDEW-Standard'!$B$3:$M$94,F$9,0)</f>
        <v>MK4</v>
      </c>
      <c r="H17" s="274">
        <f>ROUND(VLOOKUP($E17,'BDEW-Standard'!$B$3:$M$94,H$9,0),7)</f>
        <v>3.1177248</v>
      </c>
      <c r="I17" s="274">
        <f>ROUND(VLOOKUP($E17,'BDEW-Standard'!$B$3:$M$94,I$9,0),7)</f>
        <v>-35.871506199999999</v>
      </c>
      <c r="J17" s="274">
        <f>ROUND(VLOOKUP($E17,'BDEW-Standard'!$B$3:$M$94,J$9,0),7)</f>
        <v>7.5186828999999999</v>
      </c>
      <c r="K17" s="274">
        <f>ROUND(VLOOKUP($E17,'BDEW-Standard'!$B$3:$M$94,K$9,0),7)</f>
        <v>3.4330100000000002E-2</v>
      </c>
      <c r="L17" s="338">
        <f>ROUND(VLOOKUP($E17,'BDEW-Standard'!$B$3:$M$94,L$9,0),1)</f>
        <v>40</v>
      </c>
      <c r="M17" s="274">
        <v>0</v>
      </c>
      <c r="N17" s="274">
        <v>0</v>
      </c>
      <c r="O17" s="274">
        <v>0</v>
      </c>
      <c r="P17" s="274">
        <v>0</v>
      </c>
      <c r="Q17" s="339">
        <f t="shared" si="1"/>
        <v>0.9622064996731321</v>
      </c>
      <c r="R17" s="275">
        <f>ROUND(VLOOKUP(MID($E17,4,3),'Wochentag F(WT)'!$B$7:$J$22,R$9,0),4)</f>
        <v>1.0699000000000001</v>
      </c>
      <c r="S17" s="275">
        <f>ROUND(VLOOKUP(MID($E17,4,3),'Wochentag F(WT)'!$B$7:$J$22,S$9,0),4)</f>
        <v>1.0365</v>
      </c>
      <c r="T17" s="275">
        <f>ROUND(VLOOKUP(MID($E17,4,3),'Wochentag F(WT)'!$B$7:$J$22,T$9,0),4)</f>
        <v>0.99329999999999996</v>
      </c>
      <c r="U17" s="275">
        <f>ROUND(VLOOKUP(MID($E17,4,3),'Wochentag F(WT)'!$B$7:$J$22,U$9,0),4)</f>
        <v>0.99480000000000002</v>
      </c>
      <c r="V17" s="275">
        <f>ROUND(VLOOKUP(MID($E17,4,3),'Wochentag F(WT)'!$B$7:$J$22,V$9,0),4)</f>
        <v>1.0659000000000001</v>
      </c>
      <c r="W17" s="275">
        <f>ROUND(VLOOKUP(MID($E17,4,3),'Wochentag F(WT)'!$B$7:$J$22,W$9,0),4)</f>
        <v>0.93620000000000003</v>
      </c>
      <c r="X17" s="276">
        <f t="shared" si="2"/>
        <v>0.90339999999999954</v>
      </c>
      <c r="Y17" s="293"/>
      <c r="Z17" s="211"/>
    </row>
    <row r="18" spans="2:26" s="143" customFormat="1">
      <c r="B18" s="144">
        <v>7</v>
      </c>
      <c r="C18" s="145" t="str">
        <f t="shared" si="0"/>
        <v>Karlsruhe und Rheinstetten</v>
      </c>
      <c r="D18" s="62" t="s">
        <v>248</v>
      </c>
      <c r="E18" s="165" t="s">
        <v>5</v>
      </c>
      <c r="F18" s="297" t="str">
        <f>VLOOKUP($E18,'BDEW-Standard'!$B$3:$M$94,F$9,0)</f>
        <v>HK3</v>
      </c>
      <c r="H18" s="274">
        <f>ROUND(VLOOKUP($E18,'BDEW-Standard'!$B$3:$M$94,H$9,0),7)</f>
        <v>0.40409319999999999</v>
      </c>
      <c r="I18" s="274">
        <f>ROUND(VLOOKUP($E18,'BDEW-Standard'!$B$3:$M$94,I$9,0),7)</f>
        <v>-24.439296800000001</v>
      </c>
      <c r="J18" s="274">
        <f>ROUND(VLOOKUP($E18,'BDEW-Standard'!$B$3:$M$94,J$9,0),7)</f>
        <v>6.5718174999999999</v>
      </c>
      <c r="K18" s="274">
        <f>ROUND(VLOOKUP($E18,'BDEW-Standard'!$B$3:$M$94,K$9,0),7)</f>
        <v>0.71077100000000004</v>
      </c>
      <c r="L18" s="338">
        <f>ROUND(VLOOKUP($E18,'BDEW-Standard'!$B$3:$M$94,L$9,0),1)</f>
        <v>40</v>
      </c>
      <c r="M18" s="274">
        <v>0</v>
      </c>
      <c r="N18" s="274">
        <v>0</v>
      </c>
      <c r="O18" s="274">
        <v>0</v>
      </c>
      <c r="P18" s="274">
        <v>0</v>
      </c>
      <c r="Q18" s="339">
        <f t="shared" si="1"/>
        <v>1.0561214000512988</v>
      </c>
      <c r="R18" s="275">
        <f>ROUND(VLOOKUP(MID($E18,4,3),'Wochentag F(WT)'!$B$7:$J$22,R$9,0),4)</f>
        <v>1</v>
      </c>
      <c r="S18" s="275">
        <f>ROUND(VLOOKUP(MID($E18,4,3),'Wochentag F(WT)'!$B$7:$J$22,S$9,0),4)</f>
        <v>1</v>
      </c>
      <c r="T18" s="275">
        <f>ROUND(VLOOKUP(MID($E18,4,3),'Wochentag F(WT)'!$B$7:$J$22,T$9,0),4)</f>
        <v>1</v>
      </c>
      <c r="U18" s="275">
        <f>ROUND(VLOOKUP(MID($E18,4,3),'Wochentag F(WT)'!$B$7:$J$22,U$9,0),4)</f>
        <v>1</v>
      </c>
      <c r="V18" s="275">
        <f>ROUND(VLOOKUP(MID($E18,4,3),'Wochentag F(WT)'!$B$7:$J$22,V$9,0),4)</f>
        <v>1</v>
      </c>
      <c r="W18" s="275">
        <f>ROUND(VLOOKUP(MID($E18,4,3),'Wochentag F(WT)'!$B$7:$J$22,W$9,0),4)</f>
        <v>1</v>
      </c>
      <c r="X18" s="276">
        <f t="shared" si="2"/>
        <v>1</v>
      </c>
      <c r="Y18" s="293"/>
      <c r="Z18" s="211"/>
    </row>
    <row r="19" spans="2:26" s="143" customFormat="1">
      <c r="B19" s="144">
        <v>8</v>
      </c>
      <c r="C19" s="145"/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>
        <v>9</v>
      </c>
      <c r="C20" s="145"/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>
        <v>10</v>
      </c>
      <c r="C21" s="145"/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>
        <v>11</v>
      </c>
      <c r="C22" s="145"/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>
        <v>12</v>
      </c>
      <c r="C23" s="145"/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/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/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/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/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R11:Y41 M11:P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18 H14:K18 C13:C18 Q13:X18 Q12:X12" unlockedFormula="1"/>
    <ignoredError sqref="L12:L18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J12" sqref="J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Karlsruhe Netzservice GmbH</v>
      </c>
      <c r="D4" s="76"/>
      <c r="G4" s="76"/>
      <c r="I4" s="76"/>
      <c r="J4" s="77"/>
      <c r="M4" s="86" t="s">
        <v>542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Karlsruhe und Rheinstetten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9870043100005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41548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462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586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653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458</v>
      </c>
      <c r="F1" s="214" t="s">
        <v>548</v>
      </c>
      <c r="N1" s="215"/>
    </row>
    <row r="2" spans="1:14" ht="25.5">
      <c r="A2" s="216" t="s">
        <v>272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656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2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323</v>
      </c>
      <c r="D96" s="232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328</v>
      </c>
      <c r="D97" s="232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333</v>
      </c>
      <c r="D98" s="232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286</v>
      </c>
      <c r="D99" s="232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2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2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2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2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2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2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2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2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2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2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2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2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2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2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2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2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2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2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2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2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2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2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2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2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2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2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2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2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2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2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2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2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2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2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2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2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2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2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2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2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2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2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2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2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2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2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2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2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2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2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2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2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2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2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2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2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2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2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2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459</v>
      </c>
      <c r="B1" s="128"/>
      <c r="D1" s="214" t="s">
        <v>548</v>
      </c>
    </row>
    <row r="2" spans="1:16">
      <c r="A2" s="234"/>
      <c r="B2" s="233" t="s">
        <v>460</v>
      </c>
    </row>
    <row r="3" spans="1:16" ht="20.100000000000001" customHeight="1">
      <c r="A3" s="351" t="s">
        <v>249</v>
      </c>
      <c r="B3" s="235" t="s">
        <v>87</v>
      </c>
      <c r="C3" s="236"/>
      <c r="D3" s="353" t="s">
        <v>461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118</v>
      </c>
    </row>
    <row r="22" spans="1:16" ht="25.5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Alexander Kretzler</cp:lastModifiedBy>
  <cp:lastPrinted>2015-03-20T22:59:10Z</cp:lastPrinted>
  <dcterms:created xsi:type="dcterms:W3CDTF">2015-01-15T05:25:41Z</dcterms:created>
  <dcterms:modified xsi:type="dcterms:W3CDTF">2017-11-21T07:40:34Z</dcterms:modified>
</cp:coreProperties>
</file>